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7" activeTab="2"/>
  </bookViews>
  <sheets>
    <sheet name="Pension Data" sheetId="1" r:id="rId1"/>
    <sheet name="OPEB Data" sheetId="2" r:id="rId2"/>
    <sheet name="Data for Pension Map" sheetId="3" r:id="rId3"/>
    <sheet name="Glossary" sheetId="4" r:id="rId4"/>
  </sheets>
  <definedNames/>
  <calcPr fullCalcOnLoad="1"/>
</workbook>
</file>

<file path=xl/sharedStrings.xml><?xml version="1.0" encoding="utf-8"?>
<sst xmlns="http://schemas.openxmlformats.org/spreadsheetml/2006/main" count="116" uniqueCount="64">
  <si>
    <t>County</t>
  </si>
  <si>
    <t>Pension AAL</t>
  </si>
  <si>
    <t>Pension UAAL</t>
  </si>
  <si>
    <t>OPEB AAL</t>
  </si>
  <si>
    <t>OPEB UAAL</t>
  </si>
  <si>
    <t>Allegany, MD</t>
  </si>
  <si>
    <t>Anne Arundel, MD</t>
  </si>
  <si>
    <t>Baltimore City, MD</t>
  </si>
  <si>
    <t>Baltimore County, MD</t>
  </si>
  <si>
    <t>Calvert, MD</t>
  </si>
  <si>
    <t>Caroline, MD</t>
  </si>
  <si>
    <t>Carroll, MD</t>
  </si>
  <si>
    <t>Cecil, MD</t>
  </si>
  <si>
    <t>Charles, MD</t>
  </si>
  <si>
    <t>Dorchester, MD</t>
  </si>
  <si>
    <t>Frederick, MD</t>
  </si>
  <si>
    <t>Garrett, MD</t>
  </si>
  <si>
    <t>Harford, MD</t>
  </si>
  <si>
    <t>Howard, MD</t>
  </si>
  <si>
    <t>Montgomery, MD</t>
  </si>
  <si>
    <t>Prince George's, MD</t>
  </si>
  <si>
    <t>Queen Anne's, MD</t>
  </si>
  <si>
    <t>St. Mary's, MD</t>
  </si>
  <si>
    <t>Talbot, MD</t>
  </si>
  <si>
    <t>Washington, MD</t>
  </si>
  <si>
    <t>Wicomico, MD</t>
  </si>
  <si>
    <t>Worcester, MD</t>
  </si>
  <si>
    <t>Kent, MD</t>
  </si>
  <si>
    <t>County Employees</t>
  </si>
  <si>
    <t>Board of Education</t>
  </si>
  <si>
    <t>Library</t>
  </si>
  <si>
    <t>Public Safety</t>
  </si>
  <si>
    <t>Other</t>
  </si>
  <si>
    <t>Unfunded Ratio</t>
  </si>
  <si>
    <t>Annual OPEB Cost</t>
  </si>
  <si>
    <t>Amount Contributed</t>
  </si>
  <si>
    <t>BOE OPEB Cost</t>
  </si>
  <si>
    <t>BOE OPEB Contributed</t>
  </si>
  <si>
    <t>Percent Contributed</t>
  </si>
  <si>
    <t>BOE Percent Contributed</t>
  </si>
  <si>
    <t>BOE OPEB AAL</t>
  </si>
  <si>
    <t>BOE OPEB UAAL</t>
  </si>
  <si>
    <t>BOE Unfunded Ratio</t>
  </si>
  <si>
    <t>Total Pension Cost</t>
  </si>
  <si>
    <t>Total OPEB Cost</t>
  </si>
  <si>
    <t>Average Unfunded Ratio</t>
  </si>
  <si>
    <t>Comm. College</t>
  </si>
  <si>
    <t>Zip Code</t>
  </si>
  <si>
    <t>Total Spent on Pensions/OPEB</t>
  </si>
  <si>
    <t>Total Pension/OPEB UAAL</t>
  </si>
  <si>
    <t>Total Pension/OPEB AAL</t>
  </si>
  <si>
    <t>Term</t>
  </si>
  <si>
    <t>Definition</t>
  </si>
  <si>
    <t>AAL</t>
  </si>
  <si>
    <t>UAAL</t>
  </si>
  <si>
    <t>OPEB</t>
  </si>
  <si>
    <t>Other Post-Employment Benefits</t>
  </si>
  <si>
    <t>BOE</t>
  </si>
  <si>
    <t>Actuarial Accrued Liability -- Excess of the present value of a pension fund's total of future benefits (payable to the pension plan participants) and fund administration expenses over the present value of the future normal cost of those benefits.</t>
  </si>
  <si>
    <t>Unfunded Actuarial Accrued Liability -- Excess of actuarial accrued liability over the actuarial value of the pension fund assets.</t>
  </si>
  <si>
    <t>Notes</t>
  </si>
  <si>
    <t>For more information, see the Project: Pensions welcome page and the "Explanation of Key Terms" below the pension map</t>
  </si>
  <si>
    <t>Somerset, MD</t>
  </si>
  <si>
    <t>Totals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</si>
</sst>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* #,##0.000_);_(* \(#,##0.000\);_(* &quot;-&quot;???_);_(@_)"/>
    <numFmt numFmtId="166" formatCode="_(* #,##0.0000_);_(* \(#,##0.0000\);_(* &quot;-&quot;?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47">
      <alignment/>
      <protection/>
    </xf>
    <xf numFmtId="164" fontId="1" fillId="0" borderId="0" xfId="44">
      <alignment/>
      <protection/>
    </xf>
    <xf numFmtId="0" fontId="2" fillId="0" borderId="0" xfId="47" applyFont="1">
      <alignment/>
      <protection/>
    </xf>
    <xf numFmtId="164" fontId="2" fillId="0" borderId="0" xfId="44" applyFont="1">
      <alignment/>
      <protection/>
    </xf>
    <xf numFmtId="0" fontId="3" fillId="0" borderId="0" xfId="47" applyFont="1" applyFill="1">
      <alignment/>
      <protection/>
    </xf>
    <xf numFmtId="0" fontId="4" fillId="0" borderId="0" xfId="0" applyFont="1" applyAlignment="1">
      <alignment/>
    </xf>
    <xf numFmtId="9" fontId="0" fillId="0" borderId="0" xfId="60">
      <alignment/>
      <protection/>
    </xf>
    <xf numFmtId="9" fontId="4" fillId="0" borderId="0" xfId="60" applyFont="1">
      <alignment/>
      <protection/>
    </xf>
    <xf numFmtId="164" fontId="1" fillId="0" borderId="0" xfId="44" applyFill="1">
      <alignment/>
      <protection/>
    </xf>
    <xf numFmtId="9" fontId="0" fillId="0" borderId="0" xfId="60" applyFont="1">
      <alignment/>
      <protection/>
    </xf>
    <xf numFmtId="0" fontId="2" fillId="0" borderId="0" xfId="47" applyFont="1">
      <alignment/>
      <protection/>
    </xf>
    <xf numFmtId="1" fontId="2" fillId="0" borderId="0" xfId="47" applyNumberFormat="1" applyFont="1">
      <alignment/>
      <protection/>
    </xf>
    <xf numFmtId="0" fontId="3" fillId="0" borderId="0" xfId="47" applyFont="1" applyFill="1">
      <alignment/>
      <protection/>
    </xf>
    <xf numFmtId="1" fontId="1" fillId="0" borderId="0" xfId="47" applyNumberFormat="1" applyFont="1" applyFill="1">
      <alignment/>
      <protection/>
    </xf>
    <xf numFmtId="1" fontId="5" fillId="0" borderId="0" xfId="44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9" fontId="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bestFit="1" customWidth="1"/>
    <col min="2" max="2" width="19.140625" style="2" bestFit="1" customWidth="1"/>
    <col min="3" max="3" width="19.28125" style="2" bestFit="1" customWidth="1"/>
    <col min="4" max="4" width="16.00390625" style="2" bestFit="1" customWidth="1"/>
    <col min="5" max="5" width="14.28125" style="2" bestFit="1" customWidth="1"/>
    <col min="6" max="6" width="15.28125" style="2" bestFit="1" customWidth="1"/>
    <col min="7" max="7" width="16.28125" style="2" bestFit="1" customWidth="1"/>
    <col min="8" max="9" width="19.00390625" style="2" bestFit="1" customWidth="1"/>
    <col min="10" max="10" width="18.00390625" style="2" bestFit="1" customWidth="1"/>
    <col min="11" max="11" width="15.140625" style="7" bestFit="1" customWidth="1"/>
  </cols>
  <sheetData>
    <row r="1" spans="1:11" s="6" customFormat="1" ht="15">
      <c r="A1" s="3" t="s">
        <v>0</v>
      </c>
      <c r="B1" s="4" t="s">
        <v>28</v>
      </c>
      <c r="C1" s="4" t="s">
        <v>29</v>
      </c>
      <c r="D1" s="4" t="s">
        <v>46</v>
      </c>
      <c r="E1" s="4" t="s">
        <v>30</v>
      </c>
      <c r="F1" s="4" t="s">
        <v>31</v>
      </c>
      <c r="G1" s="4" t="s">
        <v>32</v>
      </c>
      <c r="H1" s="4" t="s">
        <v>43</v>
      </c>
      <c r="I1" s="4" t="s">
        <v>1</v>
      </c>
      <c r="J1" s="4" t="s">
        <v>2</v>
      </c>
      <c r="K1" s="8" t="s">
        <v>33</v>
      </c>
    </row>
    <row r="2" spans="1:11" ht="15">
      <c r="A2" s="5" t="s">
        <v>5</v>
      </c>
      <c r="B2" s="2">
        <v>1654551</v>
      </c>
      <c r="C2" s="2">
        <v>1428305</v>
      </c>
      <c r="D2" s="2">
        <f>116081+1613343</f>
        <v>1729424</v>
      </c>
      <c r="E2" s="2">
        <f>7692+128282</f>
        <v>135974</v>
      </c>
      <c r="F2" s="2">
        <v>600000</v>
      </c>
      <c r="G2" s="2">
        <v>50927</v>
      </c>
      <c r="H2" s="2">
        <f>SUM(B2:G2)</f>
        <v>5599181</v>
      </c>
      <c r="K2" s="10"/>
    </row>
    <row r="3" spans="1:11" ht="15">
      <c r="A3" s="5" t="s">
        <v>6</v>
      </c>
      <c r="B3" s="2">
        <v>17490119</v>
      </c>
      <c r="C3" s="2">
        <f>8686048+71593291</f>
        <v>80279339</v>
      </c>
      <c r="D3" s="2">
        <f>334674+3619650</f>
        <v>3954324</v>
      </c>
      <c r="E3" s="2">
        <v>1308229</v>
      </c>
      <c r="F3" s="2">
        <f>13803470+14209656+4899725</f>
        <v>32912851</v>
      </c>
      <c r="G3" s="2">
        <v>1525610</v>
      </c>
      <c r="H3" s="2">
        <f aca="true" t="shared" si="0" ref="H3:H25">SUM(B3:G3)</f>
        <v>137470472</v>
      </c>
      <c r="I3" s="2">
        <f>598841131+487458733+455275809+111277697</f>
        <v>1652853370</v>
      </c>
      <c r="J3" s="2">
        <f>79285038+55282697+37084763+26787087</f>
        <v>198439585</v>
      </c>
      <c r="K3" s="7">
        <f>J3/I3</f>
        <v>0.12005879565711265</v>
      </c>
    </row>
    <row r="4" spans="1:11" ht="15">
      <c r="A4" s="5" t="s">
        <v>7</v>
      </c>
      <c r="B4" s="2">
        <v>43673000</v>
      </c>
      <c r="C4" s="2">
        <v>60856000</v>
      </c>
      <c r="E4" s="2">
        <v>1419000</v>
      </c>
      <c r="F4" s="2">
        <v>69513000</v>
      </c>
      <c r="G4" s="2">
        <v>1521000</v>
      </c>
      <c r="H4" s="2">
        <f t="shared" si="0"/>
        <v>176982000</v>
      </c>
      <c r="I4" s="2">
        <f>3050887000+1724931000+16957000</f>
        <v>4792775000</v>
      </c>
      <c r="J4" s="2">
        <f>463652000+300728000+2796000+6529000</f>
        <v>773705000</v>
      </c>
      <c r="K4" s="7">
        <f aca="true" t="shared" si="1" ref="K4:K24">J4/I4</f>
        <v>0.1614315297505099</v>
      </c>
    </row>
    <row r="5" spans="1:8" ht="15">
      <c r="A5" s="5" t="s">
        <v>8</v>
      </c>
      <c r="B5" s="2">
        <f>58339727+54739250</f>
        <v>113078977</v>
      </c>
      <c r="C5" s="2">
        <f>92499000+3208000</f>
        <v>95707000</v>
      </c>
      <c r="F5" s="2">
        <v>13000</v>
      </c>
      <c r="G5" s="2">
        <v>100000000</v>
      </c>
      <c r="H5" s="2">
        <f t="shared" si="0"/>
        <v>308798977</v>
      </c>
    </row>
    <row r="6" spans="1:11" ht="15">
      <c r="A6" s="5" t="s">
        <v>9</v>
      </c>
      <c r="B6" s="2">
        <v>3090000</v>
      </c>
      <c r="F6" s="2">
        <f>2615000+375000</f>
        <v>2990000</v>
      </c>
      <c r="H6" s="2">
        <f t="shared" si="0"/>
        <v>6080000</v>
      </c>
      <c r="I6" s="2">
        <v>59398290</v>
      </c>
      <c r="J6" s="2">
        <v>16187510</v>
      </c>
      <c r="K6" s="7">
        <f t="shared" si="1"/>
        <v>0.2725248487793167</v>
      </c>
    </row>
    <row r="7" spans="1:11" ht="15">
      <c r="A7" s="5" t="s">
        <v>10</v>
      </c>
      <c r="B7" s="2">
        <v>775000</v>
      </c>
      <c r="C7" s="2">
        <f>4903330+727518</f>
        <v>5630848</v>
      </c>
      <c r="E7" s="2">
        <v>139375</v>
      </c>
      <c r="G7" s="2">
        <v>31335</v>
      </c>
      <c r="H7" s="2">
        <f t="shared" si="0"/>
        <v>6576558</v>
      </c>
      <c r="I7" s="2">
        <v>19709260</v>
      </c>
      <c r="J7" s="2">
        <v>5514023</v>
      </c>
      <c r="K7" s="7">
        <f t="shared" si="1"/>
        <v>0.2797681394430841</v>
      </c>
    </row>
    <row r="8" spans="1:11" ht="15">
      <c r="A8" s="5" t="s">
        <v>11</v>
      </c>
      <c r="B8" s="2">
        <v>3000000</v>
      </c>
      <c r="C8" s="2">
        <v>25655139</v>
      </c>
      <c r="D8" s="2">
        <v>783966</v>
      </c>
      <c r="E8" s="2">
        <v>701684</v>
      </c>
      <c r="F8" s="2">
        <v>590000</v>
      </c>
      <c r="H8" s="2">
        <f t="shared" si="0"/>
        <v>30730789</v>
      </c>
      <c r="I8" s="2">
        <v>29210223</v>
      </c>
      <c r="J8" s="2">
        <v>6924996</v>
      </c>
      <c r="K8" s="7">
        <f t="shared" si="1"/>
        <v>0.23707439686441284</v>
      </c>
    </row>
    <row r="9" spans="1:11" ht="15">
      <c r="A9" s="5" t="s">
        <v>12</v>
      </c>
      <c r="B9" s="2">
        <v>1212634</v>
      </c>
      <c r="C9" s="2">
        <v>13251127</v>
      </c>
      <c r="D9" s="2">
        <v>427492</v>
      </c>
      <c r="E9" s="2">
        <v>300836</v>
      </c>
      <c r="F9" s="2">
        <v>1798040</v>
      </c>
      <c r="G9" s="2">
        <f>388841+39559</f>
        <v>428400</v>
      </c>
      <c r="H9" s="2">
        <f>SUM(B9:G9)</f>
        <v>17418529</v>
      </c>
      <c r="I9" s="2">
        <v>31813317</v>
      </c>
      <c r="J9" s="2">
        <v>12037880</v>
      </c>
      <c r="K9" s="7">
        <f t="shared" si="1"/>
        <v>0.3783912252846819</v>
      </c>
    </row>
    <row r="10" spans="1:11" ht="15">
      <c r="A10" s="5" t="s">
        <v>13</v>
      </c>
      <c r="B10" s="2">
        <v>5765963</v>
      </c>
      <c r="C10" s="2">
        <v>24388903</v>
      </c>
      <c r="F10" s="2">
        <v>6817196</v>
      </c>
      <c r="G10" s="2">
        <v>778900</v>
      </c>
      <c r="H10" s="2">
        <f t="shared" si="0"/>
        <v>37750962</v>
      </c>
      <c r="I10" s="2">
        <f>165320387+142070236+82482959</f>
        <v>389873582</v>
      </c>
      <c r="J10" s="2">
        <f>35959590+24534279+21204517</f>
        <v>81698386</v>
      </c>
      <c r="K10" s="7">
        <f t="shared" si="1"/>
        <v>0.20955096670284268</v>
      </c>
    </row>
    <row r="11" spans="1:11" ht="15">
      <c r="A11" s="5" t="s">
        <v>14</v>
      </c>
      <c r="B11" s="2">
        <v>1506436</v>
      </c>
      <c r="C11" s="2">
        <f>590265+4308318</f>
        <v>4898583</v>
      </c>
      <c r="G11" s="2">
        <v>5190</v>
      </c>
      <c r="H11" s="2">
        <f t="shared" si="0"/>
        <v>6410209</v>
      </c>
      <c r="K11" s="10"/>
    </row>
    <row r="12" spans="1:11" ht="15">
      <c r="A12" s="5" t="s">
        <v>15</v>
      </c>
      <c r="B12" s="2">
        <v>20207459</v>
      </c>
      <c r="G12" s="2">
        <f>862344+512590</f>
        <v>1374934</v>
      </c>
      <c r="H12" s="2">
        <f t="shared" si="0"/>
        <v>21582393</v>
      </c>
      <c r="I12" s="2">
        <v>325399414</v>
      </c>
      <c r="J12" s="2">
        <v>67374641</v>
      </c>
      <c r="K12" s="7">
        <f t="shared" si="1"/>
        <v>0.207052127635362</v>
      </c>
    </row>
    <row r="13" spans="1:11" ht="15">
      <c r="A13" s="5" t="s">
        <v>16</v>
      </c>
      <c r="B13" s="2">
        <v>1262159</v>
      </c>
      <c r="F13" s="2">
        <v>245759</v>
      </c>
      <c r="G13" s="2">
        <v>24465</v>
      </c>
      <c r="H13" s="2">
        <f t="shared" si="0"/>
        <v>1532383</v>
      </c>
      <c r="I13" s="2">
        <f>5688136+19760465</f>
        <v>25448601</v>
      </c>
      <c r="J13" s="2">
        <f>1471625+5678628</f>
        <v>7150253</v>
      </c>
      <c r="K13" s="7">
        <f t="shared" si="1"/>
        <v>0.28096841158380376</v>
      </c>
    </row>
    <row r="14" spans="1:11" ht="15">
      <c r="A14" s="5" t="s">
        <v>17</v>
      </c>
      <c r="B14" s="2">
        <v>12810657</v>
      </c>
      <c r="C14" s="2">
        <v>4630306</v>
      </c>
      <c r="D14" s="2">
        <v>78539</v>
      </c>
      <c r="E14" s="2">
        <v>173786</v>
      </c>
      <c r="F14" s="2">
        <f>1670207+2140299</f>
        <v>3810506</v>
      </c>
      <c r="H14" s="2">
        <f t="shared" si="0"/>
        <v>21503794</v>
      </c>
      <c r="I14" s="2">
        <f>26762302+47756509</f>
        <v>74518811</v>
      </c>
      <c r="J14" s="2">
        <f>11655961+15277721</f>
        <v>26933682</v>
      </c>
      <c r="K14" s="7">
        <f t="shared" si="1"/>
        <v>0.3614346718441334</v>
      </c>
    </row>
    <row r="15" spans="1:11" ht="15">
      <c r="A15" s="5" t="s">
        <v>18</v>
      </c>
      <c r="B15" s="2">
        <v>10304000</v>
      </c>
      <c r="F15" s="2">
        <v>15677000</v>
      </c>
      <c r="H15" s="2">
        <f t="shared" si="0"/>
        <v>25981000</v>
      </c>
      <c r="I15" s="2">
        <f>253800000+348700000</f>
        <v>602500000</v>
      </c>
      <c r="J15" s="2">
        <f>16400000+81700000</f>
        <v>98100000</v>
      </c>
      <c r="K15" s="7">
        <f t="shared" si="1"/>
        <v>0.16282157676348546</v>
      </c>
    </row>
    <row r="16" spans="1:8" ht="15">
      <c r="A16" s="5" t="s">
        <v>27</v>
      </c>
      <c r="B16" s="2">
        <v>628667</v>
      </c>
      <c r="C16" s="2">
        <f>2299935+11142+761813+83550</f>
        <v>3156440</v>
      </c>
      <c r="F16" s="2">
        <v>301279</v>
      </c>
      <c r="H16" s="2">
        <f t="shared" si="0"/>
        <v>4086386</v>
      </c>
    </row>
    <row r="17" spans="1:11" ht="15">
      <c r="A17" s="5" t="s">
        <v>19</v>
      </c>
      <c r="B17" s="2">
        <v>109343933</v>
      </c>
      <c r="C17" s="2">
        <v>63707764</v>
      </c>
      <c r="F17" s="2">
        <v>1283309</v>
      </c>
      <c r="G17" s="2">
        <f>16071953+1030360</f>
        <v>17102313</v>
      </c>
      <c r="H17" s="2">
        <f t="shared" si="0"/>
        <v>191437319</v>
      </c>
      <c r="I17" s="2">
        <f>3744713474+1420871337</f>
        <v>5165584811</v>
      </c>
      <c r="J17" s="2">
        <f>875291198+441392953</f>
        <v>1316684151</v>
      </c>
      <c r="K17" s="7">
        <f t="shared" si="1"/>
        <v>0.2548954666654877</v>
      </c>
    </row>
    <row r="18" spans="1:11" ht="15">
      <c r="A18" s="5" t="s">
        <v>20</v>
      </c>
      <c r="B18" s="2">
        <v>17619468</v>
      </c>
      <c r="C18" s="2">
        <v>127564093</v>
      </c>
      <c r="D18" s="2">
        <f>712018+4008819</f>
        <v>4720837</v>
      </c>
      <c r="E18" s="2">
        <v>1896406</v>
      </c>
      <c r="F18" s="2">
        <v>73600000</v>
      </c>
      <c r="H18" s="2">
        <f t="shared" si="0"/>
        <v>225400804</v>
      </c>
      <c r="I18" s="2">
        <f>1107839000+574931700+82382200+134197800+8333400+6838200+1836200+71474400+134320300+9389100+22083000</f>
        <v>2153625300</v>
      </c>
      <c r="J18" s="2">
        <f>447031700+268719200+44115700+62368700+4685700+2776200+722700+23929600+50314300+4329100+9571600</f>
        <v>918564500</v>
      </c>
      <c r="K18" s="7">
        <f t="shared" si="1"/>
        <v>0.42652011006742907</v>
      </c>
    </row>
    <row r="19" spans="1:8" ht="15">
      <c r="A19" s="5" t="s">
        <v>21</v>
      </c>
      <c r="B19" s="2">
        <v>2415867</v>
      </c>
      <c r="C19" s="2">
        <f>6590974+919174</f>
        <v>7510148</v>
      </c>
      <c r="E19" s="2">
        <f>112894+40702</f>
        <v>153596</v>
      </c>
      <c r="F19" s="2">
        <v>734768</v>
      </c>
      <c r="H19" s="2">
        <f t="shared" si="0"/>
        <v>10814379</v>
      </c>
    </row>
    <row r="20" spans="1:11" ht="15">
      <c r="A20" s="5" t="s">
        <v>22</v>
      </c>
      <c r="B20" s="2">
        <v>5161946</v>
      </c>
      <c r="C20" s="2">
        <f>1386017+14684898</f>
        <v>16070915</v>
      </c>
      <c r="E20" s="2">
        <v>252560</v>
      </c>
      <c r="F20" s="2">
        <v>4514584</v>
      </c>
      <c r="G20" s="2">
        <v>668721</v>
      </c>
      <c r="H20" s="2">
        <f t="shared" si="0"/>
        <v>26668726</v>
      </c>
      <c r="I20" s="2">
        <f>78251000+67693933</f>
        <v>145944933</v>
      </c>
      <c r="J20" s="2">
        <f>32832406+48609219</f>
        <v>81441625</v>
      </c>
      <c r="K20" s="7">
        <f t="shared" si="1"/>
        <v>0.5580298221110561</v>
      </c>
    </row>
    <row r="21" spans="1:8" ht="15">
      <c r="A21" s="5" t="s">
        <v>62</v>
      </c>
      <c r="C21" s="2">
        <v>3061622</v>
      </c>
      <c r="E21" s="2">
        <v>55330</v>
      </c>
      <c r="H21" s="2">
        <f t="shared" si="0"/>
        <v>3116952</v>
      </c>
    </row>
    <row r="22" spans="1:8" ht="15">
      <c r="A22" s="5" t="s">
        <v>23</v>
      </c>
      <c r="B22" s="2">
        <v>1269354</v>
      </c>
      <c r="C22" s="2">
        <f>725295+3756748</f>
        <v>4482043</v>
      </c>
      <c r="E22" s="2">
        <v>95844</v>
      </c>
      <c r="H22" s="2">
        <f t="shared" si="0"/>
        <v>5847241</v>
      </c>
    </row>
    <row r="23" spans="1:11" ht="15">
      <c r="A23" s="5" t="s">
        <v>24</v>
      </c>
      <c r="B23" s="2">
        <v>2461236</v>
      </c>
      <c r="C23" s="2">
        <v>20537456</v>
      </c>
      <c r="G23" s="2">
        <v>598620</v>
      </c>
      <c r="H23" s="2">
        <f t="shared" si="0"/>
        <v>23597312</v>
      </c>
      <c r="I23" s="2">
        <f>77023047+7710562</f>
        <v>84733609</v>
      </c>
      <c r="J23" s="2">
        <f>24036755+3138369</f>
        <v>27175124</v>
      </c>
      <c r="K23" s="7">
        <f t="shared" si="1"/>
        <v>0.3207124577922793</v>
      </c>
    </row>
    <row r="24" spans="1:11" ht="15">
      <c r="A24" s="5" t="s">
        <v>25</v>
      </c>
      <c r="B24" s="2">
        <v>197203</v>
      </c>
      <c r="C24" s="2">
        <f>841309+640980</f>
        <v>1482289</v>
      </c>
      <c r="E24" s="2">
        <v>198633</v>
      </c>
      <c r="H24" s="2">
        <f t="shared" si="0"/>
        <v>1878125</v>
      </c>
      <c r="I24" s="2">
        <v>19424052</v>
      </c>
      <c r="J24" s="2">
        <v>4393657</v>
      </c>
      <c r="K24" s="7">
        <f t="shared" si="1"/>
        <v>0.22619672764467474</v>
      </c>
    </row>
    <row r="25" spans="1:11" ht="15">
      <c r="A25" s="5" t="s">
        <v>26</v>
      </c>
      <c r="B25" s="2">
        <v>3862556</v>
      </c>
      <c r="E25" s="2">
        <v>204062</v>
      </c>
      <c r="G25" s="2">
        <v>90297</v>
      </c>
      <c r="H25" s="2">
        <f t="shared" si="0"/>
        <v>4156915</v>
      </c>
      <c r="I25" s="2">
        <v>4867778</v>
      </c>
      <c r="J25" s="2">
        <v>6657801</v>
      </c>
      <c r="K25" s="7">
        <v>-0.37</v>
      </c>
    </row>
    <row r="26" spans="8:11" ht="15">
      <c r="H26" s="4">
        <f>SUM(H2:H25)</f>
        <v>1301421406</v>
      </c>
      <c r="I26" s="4">
        <f>SUM(I2:I25)</f>
        <v>15577680351</v>
      </c>
      <c r="J26" s="4">
        <f>SUM(J2:J25)</f>
        <v>3648982814</v>
      </c>
      <c r="K26" s="8">
        <f>AVERAGE(K2:K25)</f>
        <v>0.2404371337993925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2" width="18.00390625" style="2" bestFit="1" customWidth="1"/>
    <col min="3" max="3" width="19.421875" style="2" bestFit="1" customWidth="1"/>
    <col min="4" max="4" width="19.421875" style="7" bestFit="1" customWidth="1"/>
    <col min="5" max="6" width="18.00390625" style="2" bestFit="1" customWidth="1"/>
    <col min="7" max="7" width="15.140625" style="7" bestFit="1" customWidth="1"/>
    <col min="8" max="8" width="16.28125" style="2" bestFit="1" customWidth="1"/>
    <col min="9" max="9" width="22.140625" style="2" bestFit="1" customWidth="1"/>
    <col min="10" max="10" width="24.00390625" style="7" bestFit="1" customWidth="1"/>
    <col min="11" max="11" width="19.00390625" style="2" customWidth="1"/>
    <col min="12" max="12" width="18.00390625" style="0" bestFit="1" customWidth="1"/>
    <col min="13" max="13" width="19.7109375" style="0" bestFit="1" customWidth="1"/>
    <col min="14" max="14" width="16.28125" style="2" bestFit="1" customWidth="1"/>
    <col min="15" max="15" width="23.57421875" style="7" bestFit="1" customWidth="1"/>
  </cols>
  <sheetData>
    <row r="1" spans="1:15" s="6" customFormat="1" ht="15">
      <c r="A1" s="3" t="s">
        <v>0</v>
      </c>
      <c r="B1" s="4" t="s">
        <v>34</v>
      </c>
      <c r="C1" s="4" t="s">
        <v>35</v>
      </c>
      <c r="D1" s="8" t="s">
        <v>38</v>
      </c>
      <c r="E1" s="4" t="s">
        <v>3</v>
      </c>
      <c r="F1" s="4" t="s">
        <v>4</v>
      </c>
      <c r="G1" s="8" t="s">
        <v>33</v>
      </c>
      <c r="H1" s="4" t="s">
        <v>36</v>
      </c>
      <c r="I1" s="4" t="s">
        <v>37</v>
      </c>
      <c r="J1" s="8" t="s">
        <v>39</v>
      </c>
      <c r="K1" s="4" t="s">
        <v>40</v>
      </c>
      <c r="L1" s="6" t="s">
        <v>41</v>
      </c>
      <c r="M1" s="6" t="s">
        <v>42</v>
      </c>
      <c r="N1" s="4" t="s">
        <v>44</v>
      </c>
      <c r="O1" s="8" t="s">
        <v>45</v>
      </c>
    </row>
    <row r="2" spans="1:15" ht="15">
      <c r="A2" s="5" t="s">
        <v>5</v>
      </c>
      <c r="B2" s="2">
        <v>1973780</v>
      </c>
      <c r="C2" s="2">
        <v>2028454</v>
      </c>
      <c r="D2" s="7">
        <f>C2/B2</f>
        <v>1.0277001489527708</v>
      </c>
      <c r="E2" s="2">
        <v>25006403</v>
      </c>
      <c r="F2" s="2">
        <v>23155814</v>
      </c>
      <c r="G2" s="7">
        <f>F2/E2</f>
        <v>0.9259953940596735</v>
      </c>
      <c r="H2" s="2">
        <v>644209</v>
      </c>
      <c r="I2" s="2">
        <v>648523</v>
      </c>
      <c r="J2" s="7">
        <f>I2/H2</f>
        <v>1.0066965844935416</v>
      </c>
      <c r="K2" s="2">
        <v>8113878</v>
      </c>
      <c r="L2" s="9">
        <v>7437770</v>
      </c>
      <c r="M2" s="7">
        <f>L2/K2</f>
        <v>0.9166726440796866</v>
      </c>
      <c r="N2" s="2">
        <f>I2+C2</f>
        <v>2676977</v>
      </c>
      <c r="O2" s="7">
        <f>(M2+G2)/2</f>
        <v>0.92133401906968</v>
      </c>
    </row>
    <row r="3" spans="1:15" ht="15">
      <c r="A3" s="5" t="s">
        <v>6</v>
      </c>
      <c r="B3" s="2">
        <f>90947000+4787000+3271000</f>
        <v>99005000</v>
      </c>
      <c r="C3" s="2">
        <f>21915000+945000+865000</f>
        <v>23725000</v>
      </c>
      <c r="D3" s="7">
        <f aca="true" t="shared" si="0" ref="D3:D25">C3/B3</f>
        <v>0.23963436190091408</v>
      </c>
      <c r="E3" s="2">
        <f>1068536000+54322000+35741000</f>
        <v>1158599000</v>
      </c>
      <c r="F3" s="2">
        <f>1068536000+54322000+35741000</f>
        <v>1158599000</v>
      </c>
      <c r="G3" s="7">
        <f aca="true" t="shared" si="1" ref="G3:G25">F3/E3</f>
        <v>1</v>
      </c>
      <c r="H3" s="2">
        <v>91717000</v>
      </c>
      <c r="I3" s="2">
        <v>29558000</v>
      </c>
      <c r="J3" s="7">
        <f aca="true" t="shared" si="2" ref="J3:J25">I3/H3</f>
        <v>0.32227395139396187</v>
      </c>
      <c r="K3" s="2">
        <v>1241299000</v>
      </c>
      <c r="L3" s="9">
        <v>1241299000</v>
      </c>
      <c r="M3" s="7">
        <f aca="true" t="shared" si="3" ref="M3:M25">L3/K3</f>
        <v>1</v>
      </c>
      <c r="N3" s="2">
        <f aca="true" t="shared" si="4" ref="N3:N25">I3+C3</f>
        <v>53283000</v>
      </c>
      <c r="O3" s="7">
        <f aca="true" t="shared" si="5" ref="O3:O25">(M3+G3)/2</f>
        <v>1</v>
      </c>
    </row>
    <row r="4" spans="1:15" ht="15">
      <c r="A4" s="5" t="s">
        <v>7</v>
      </c>
      <c r="B4" s="2">
        <v>179300000</v>
      </c>
      <c r="C4" s="2">
        <v>142300000</v>
      </c>
      <c r="D4" s="7">
        <f t="shared" si="0"/>
        <v>0.7936419408812047</v>
      </c>
      <c r="E4" s="2">
        <v>2497600000</v>
      </c>
      <c r="F4" s="2">
        <v>2397300000</v>
      </c>
      <c r="G4" s="7">
        <f t="shared" si="1"/>
        <v>0.9598414477898782</v>
      </c>
      <c r="I4" s="2">
        <v>34200000</v>
      </c>
      <c r="J4" s="10"/>
      <c r="L4" s="9"/>
      <c r="M4" s="10"/>
      <c r="N4" s="2">
        <f t="shared" si="4"/>
        <v>176500000</v>
      </c>
      <c r="O4" s="7">
        <f>G4</f>
        <v>0.9598414477898782</v>
      </c>
    </row>
    <row r="5" spans="1:15" ht="15">
      <c r="A5" s="5" t="s">
        <v>8</v>
      </c>
      <c r="B5" s="2">
        <f>150866000+69943000</f>
        <v>220809000</v>
      </c>
      <c r="C5" s="2">
        <f>68105000+1758000</f>
        <v>69863000</v>
      </c>
      <c r="D5" s="7">
        <f t="shared" si="0"/>
        <v>0.3163956179322401</v>
      </c>
      <c r="E5" s="2">
        <v>2002386000</v>
      </c>
      <c r="F5" s="2">
        <v>1782352000</v>
      </c>
      <c r="G5" s="7">
        <f t="shared" si="1"/>
        <v>0.890114093885994</v>
      </c>
      <c r="H5" s="2">
        <v>70559000</v>
      </c>
      <c r="I5" s="2">
        <v>59678000</v>
      </c>
      <c r="J5" s="7">
        <f t="shared" si="2"/>
        <v>0.8457886307912527</v>
      </c>
      <c r="K5" s="2">
        <v>900787000</v>
      </c>
      <c r="L5" s="9">
        <v>801827000</v>
      </c>
      <c r="M5" s="7">
        <f t="shared" si="3"/>
        <v>0.8901405104647381</v>
      </c>
      <c r="N5" s="2">
        <f t="shared" si="4"/>
        <v>129541000</v>
      </c>
      <c r="O5" s="7">
        <f t="shared" si="5"/>
        <v>0.8901273021753661</v>
      </c>
    </row>
    <row r="6" spans="1:15" ht="15">
      <c r="A6" s="5" t="s">
        <v>9</v>
      </c>
      <c r="B6" s="2">
        <v>3641418</v>
      </c>
      <c r="C6" s="2">
        <v>2621100</v>
      </c>
      <c r="D6" s="7">
        <f t="shared" si="0"/>
        <v>0.7198020111945401</v>
      </c>
      <c r="E6" s="2">
        <v>30562690</v>
      </c>
      <c r="F6" s="2">
        <v>29362813</v>
      </c>
      <c r="G6" s="7">
        <f t="shared" si="1"/>
        <v>0.960740464926353</v>
      </c>
      <c r="H6" s="2">
        <v>11319105</v>
      </c>
      <c r="I6" s="2">
        <v>5664604</v>
      </c>
      <c r="J6" s="7">
        <f t="shared" si="2"/>
        <v>0.5004462808676128</v>
      </c>
      <c r="K6" s="2">
        <v>99455289</v>
      </c>
      <c r="L6" s="9">
        <v>95932908</v>
      </c>
      <c r="M6" s="7">
        <f t="shared" si="3"/>
        <v>0.9645832711822898</v>
      </c>
      <c r="N6" s="2">
        <f t="shared" si="4"/>
        <v>8285704</v>
      </c>
      <c r="O6" s="7">
        <f t="shared" si="5"/>
        <v>0.9626618680543214</v>
      </c>
    </row>
    <row r="7" spans="1:15" ht="15">
      <c r="A7" s="5" t="s">
        <v>10</v>
      </c>
      <c r="B7" s="2">
        <v>509807</v>
      </c>
      <c r="C7" s="2">
        <v>366731</v>
      </c>
      <c r="D7" s="7">
        <f t="shared" si="0"/>
        <v>0.7193526177553466</v>
      </c>
      <c r="E7" s="2">
        <v>7779640</v>
      </c>
      <c r="F7" s="2">
        <v>3733172</v>
      </c>
      <c r="G7" s="7">
        <f t="shared" si="1"/>
        <v>0.4798643639037282</v>
      </c>
      <c r="H7" s="2">
        <v>6032000</v>
      </c>
      <c r="I7" s="2">
        <v>1506895</v>
      </c>
      <c r="J7" s="7">
        <f t="shared" si="2"/>
        <v>0.24981681034482758</v>
      </c>
      <c r="K7" s="2">
        <v>75000000</v>
      </c>
      <c r="L7" s="9">
        <v>74900000</v>
      </c>
      <c r="M7" s="7">
        <f t="shared" si="3"/>
        <v>0.9986666666666667</v>
      </c>
      <c r="N7" s="2">
        <f t="shared" si="4"/>
        <v>1873626</v>
      </c>
      <c r="O7" s="7">
        <f t="shared" si="5"/>
        <v>0.7392655152851975</v>
      </c>
    </row>
    <row r="8" spans="1:15" ht="15">
      <c r="A8" s="5" t="s">
        <v>11</v>
      </c>
      <c r="B8" s="2">
        <v>12496803</v>
      </c>
      <c r="C8" s="2">
        <v>7298000</v>
      </c>
      <c r="D8" s="7">
        <f t="shared" si="0"/>
        <v>0.5839893611189998</v>
      </c>
      <c r="E8" s="2">
        <v>132526000</v>
      </c>
      <c r="F8" s="2">
        <v>119913950</v>
      </c>
      <c r="G8" s="7">
        <f t="shared" si="1"/>
        <v>0.9048333911836168</v>
      </c>
      <c r="H8" s="2">
        <f>9873000+2685000</f>
        <v>12558000</v>
      </c>
      <c r="I8" s="2">
        <f>5285169+327936</f>
        <v>5613105</v>
      </c>
      <c r="J8" s="7">
        <f t="shared" si="2"/>
        <v>0.4469744386048734</v>
      </c>
      <c r="K8" s="2">
        <f>110803000+22589000</f>
        <v>133392000</v>
      </c>
      <c r="L8" s="9">
        <f>107081000+22589000</f>
        <v>129670000</v>
      </c>
      <c r="M8" s="7">
        <f t="shared" si="3"/>
        <v>0.9720972771980328</v>
      </c>
      <c r="N8" s="2">
        <f t="shared" si="4"/>
        <v>12911105</v>
      </c>
      <c r="O8" s="7">
        <f t="shared" si="5"/>
        <v>0.9384653341908249</v>
      </c>
    </row>
    <row r="9" spans="1:15" ht="15">
      <c r="A9" s="5" t="s">
        <v>12</v>
      </c>
      <c r="B9" s="2">
        <v>648000</v>
      </c>
      <c r="C9" s="2">
        <f>331750+316250</f>
        <v>648000</v>
      </c>
      <c r="D9" s="7">
        <f t="shared" si="0"/>
        <v>1</v>
      </c>
      <c r="E9" s="2">
        <v>7039000</v>
      </c>
      <c r="F9" s="2">
        <v>5939000</v>
      </c>
      <c r="G9" s="7">
        <f t="shared" si="1"/>
        <v>0.8437278022446371</v>
      </c>
      <c r="H9" s="2">
        <v>2978542</v>
      </c>
      <c r="I9" s="2">
        <f>1967038+1011504</f>
        <v>2978542</v>
      </c>
      <c r="J9" s="7">
        <f t="shared" si="2"/>
        <v>1</v>
      </c>
      <c r="K9" s="2">
        <v>44100000</v>
      </c>
      <c r="L9" s="2">
        <v>40900000</v>
      </c>
      <c r="M9" s="7">
        <f t="shared" si="3"/>
        <v>0.927437641723356</v>
      </c>
      <c r="N9" s="2">
        <f t="shared" si="4"/>
        <v>3626542</v>
      </c>
      <c r="O9" s="7">
        <f t="shared" si="5"/>
        <v>0.8855827219839965</v>
      </c>
    </row>
    <row r="10" spans="1:15" ht="15">
      <c r="A10" s="5" t="s">
        <v>13</v>
      </c>
      <c r="B10" s="2">
        <v>13269000</v>
      </c>
      <c r="C10" s="2">
        <f>2538426+250000</f>
        <v>2788426</v>
      </c>
      <c r="D10" s="7">
        <f t="shared" si="0"/>
        <v>0.210145903986736</v>
      </c>
      <c r="E10" s="2">
        <v>144038000</v>
      </c>
      <c r="F10" s="2">
        <v>143119803</v>
      </c>
      <c r="G10" s="7">
        <f t="shared" si="1"/>
        <v>0.9936253141532095</v>
      </c>
      <c r="H10" s="2">
        <v>29265000</v>
      </c>
      <c r="I10" s="2">
        <v>13324148</v>
      </c>
      <c r="J10" s="7">
        <f t="shared" si="2"/>
        <v>0.45529294378950963</v>
      </c>
      <c r="K10" s="2">
        <v>309778000</v>
      </c>
      <c r="L10" s="2">
        <v>304623000</v>
      </c>
      <c r="M10" s="7">
        <f t="shared" si="3"/>
        <v>0.9833590506749995</v>
      </c>
      <c r="N10" s="2">
        <f t="shared" si="4"/>
        <v>16112574</v>
      </c>
      <c r="O10" s="7">
        <f t="shared" si="5"/>
        <v>0.9884921824141045</v>
      </c>
    </row>
    <row r="11" spans="1:15" ht="15">
      <c r="A11" s="5" t="s">
        <v>14</v>
      </c>
      <c r="B11" s="2">
        <f>6388+2614432</f>
        <v>2620820</v>
      </c>
      <c r="C11" s="2">
        <f>6388+477397</f>
        <v>483785</v>
      </c>
      <c r="D11" s="7">
        <f t="shared" si="0"/>
        <v>0.18459298998023518</v>
      </c>
      <c r="E11" s="2">
        <v>24831086</v>
      </c>
      <c r="F11" s="2">
        <v>22614384</v>
      </c>
      <c r="G11" s="7">
        <f t="shared" si="1"/>
        <v>0.9107287534665217</v>
      </c>
      <c r="H11" s="2">
        <v>1542000</v>
      </c>
      <c r="I11" s="2">
        <v>962609</v>
      </c>
      <c r="J11" s="7">
        <f t="shared" si="2"/>
        <v>0.6242600518806745</v>
      </c>
      <c r="K11" s="2">
        <v>23385000</v>
      </c>
      <c r="L11" s="9">
        <v>23385000</v>
      </c>
      <c r="M11" s="7">
        <f t="shared" si="3"/>
        <v>1</v>
      </c>
      <c r="N11" s="2">
        <f t="shared" si="4"/>
        <v>1446394</v>
      </c>
      <c r="O11" s="7">
        <f t="shared" si="5"/>
        <v>0.9553643767332609</v>
      </c>
    </row>
    <row r="12" spans="1:15" ht="15">
      <c r="A12" s="5" t="s">
        <v>15</v>
      </c>
      <c r="B12" s="2">
        <v>20782000</v>
      </c>
      <c r="C12" s="2">
        <v>11729901</v>
      </c>
      <c r="D12" s="7">
        <f t="shared" si="0"/>
        <v>0.5644259936483496</v>
      </c>
      <c r="E12" s="2">
        <v>211958000</v>
      </c>
      <c r="F12" s="2">
        <v>186786522</v>
      </c>
      <c r="G12" s="7">
        <f t="shared" si="1"/>
        <v>0.8812430858943753</v>
      </c>
      <c r="H12" s="2">
        <v>52774000</v>
      </c>
      <c r="I12" s="2">
        <v>5661961</v>
      </c>
      <c r="J12" s="7">
        <f t="shared" si="2"/>
        <v>0.10728694053890173</v>
      </c>
      <c r="K12" s="2">
        <v>551200000</v>
      </c>
      <c r="L12" s="9">
        <v>532400000</v>
      </c>
      <c r="M12" s="7">
        <f t="shared" si="3"/>
        <v>0.9658925979680697</v>
      </c>
      <c r="N12" s="2">
        <f t="shared" si="4"/>
        <v>17391862</v>
      </c>
      <c r="O12" s="7">
        <f t="shared" si="5"/>
        <v>0.9235678419312225</v>
      </c>
    </row>
    <row r="13" spans="1:15" ht="15">
      <c r="A13" s="5" t="s">
        <v>16</v>
      </c>
      <c r="B13" s="2">
        <v>1409885</v>
      </c>
      <c r="C13" s="2">
        <v>882470</v>
      </c>
      <c r="D13" s="7">
        <f t="shared" si="0"/>
        <v>0.6259162981377914</v>
      </c>
      <c r="E13" s="2">
        <v>15791494</v>
      </c>
      <c r="F13" s="2">
        <v>15665942</v>
      </c>
      <c r="G13" s="7">
        <f t="shared" si="1"/>
        <v>0.992049390640303</v>
      </c>
      <c r="J13" s="10"/>
      <c r="L13" s="9"/>
      <c r="M13" s="10"/>
      <c r="N13" s="2">
        <f>B13</f>
        <v>1409885</v>
      </c>
      <c r="O13" s="7">
        <f>G13</f>
        <v>0.992049390640303</v>
      </c>
    </row>
    <row r="14" spans="1:15" ht="15">
      <c r="A14" s="5" t="s">
        <v>17</v>
      </c>
      <c r="B14" s="2">
        <v>12623000</v>
      </c>
      <c r="C14" s="2">
        <v>12623000</v>
      </c>
      <c r="D14" s="7">
        <f t="shared" si="0"/>
        <v>1</v>
      </c>
      <c r="E14" s="2">
        <v>143675000</v>
      </c>
      <c r="F14" s="2">
        <v>113124000</v>
      </c>
      <c r="G14" s="7">
        <f t="shared" si="1"/>
        <v>0.7873603619279624</v>
      </c>
      <c r="H14" s="2">
        <f>46036000+67000+1796197</f>
        <v>47899197</v>
      </c>
      <c r="I14" s="2">
        <f>18308000+36013+137275</f>
        <v>18481288</v>
      </c>
      <c r="J14" s="7">
        <f t="shared" si="2"/>
        <v>0.38583711539047305</v>
      </c>
      <c r="K14" s="2">
        <v>534277000</v>
      </c>
      <c r="L14" s="9">
        <v>523314494</v>
      </c>
      <c r="M14" s="7">
        <f t="shared" si="3"/>
        <v>0.979481605983413</v>
      </c>
      <c r="N14" s="2">
        <f t="shared" si="4"/>
        <v>31104288</v>
      </c>
      <c r="O14" s="7">
        <f t="shared" si="5"/>
        <v>0.8834209839556877</v>
      </c>
    </row>
    <row r="15" spans="1:15" ht="15">
      <c r="A15" s="5" t="s">
        <v>18</v>
      </c>
      <c r="B15" s="2">
        <v>23130000</v>
      </c>
      <c r="C15" s="2">
        <v>3252073</v>
      </c>
      <c r="D15" s="7">
        <f t="shared" si="0"/>
        <v>0.14059978383052313</v>
      </c>
      <c r="E15" s="2">
        <f>F15+10575000</f>
        <v>253402000</v>
      </c>
      <c r="F15" s="2">
        <v>242827000</v>
      </c>
      <c r="G15" s="7">
        <f t="shared" si="1"/>
        <v>0.9582678905454575</v>
      </c>
      <c r="H15" s="2">
        <f>37078000+2546000</f>
        <v>39624000</v>
      </c>
      <c r="I15" s="2">
        <f>8165048+214872</f>
        <v>8379920</v>
      </c>
      <c r="J15" s="7">
        <f t="shared" si="2"/>
        <v>0.21148596810014134</v>
      </c>
      <c r="K15" s="2">
        <f>L15+16910000+881000</f>
        <v>426294901</v>
      </c>
      <c r="L15" s="2">
        <f>20219901+388284000</f>
        <v>408503901</v>
      </c>
      <c r="M15" s="7">
        <f t="shared" si="3"/>
        <v>0.9582659798222639</v>
      </c>
      <c r="N15" s="2">
        <f t="shared" si="4"/>
        <v>11631993</v>
      </c>
      <c r="O15" s="7">
        <f t="shared" si="5"/>
        <v>0.9582669351838606</v>
      </c>
    </row>
    <row r="16" spans="1:15" ht="15">
      <c r="A16" s="5" t="s">
        <v>27</v>
      </c>
      <c r="B16" s="2">
        <v>497000</v>
      </c>
      <c r="C16" s="2">
        <v>0</v>
      </c>
      <c r="D16" s="7">
        <f t="shared" si="0"/>
        <v>0</v>
      </c>
      <c r="E16" s="2">
        <v>5865000</v>
      </c>
      <c r="F16" s="2">
        <v>5709607</v>
      </c>
      <c r="G16" s="7">
        <f t="shared" si="1"/>
        <v>0.9735050298380221</v>
      </c>
      <c r="H16" s="2">
        <v>1397000</v>
      </c>
      <c r="I16" s="2">
        <v>46000</v>
      </c>
      <c r="J16" s="7">
        <f t="shared" si="2"/>
        <v>0.0329277022190408</v>
      </c>
      <c r="K16" s="2">
        <v>18651000</v>
      </c>
      <c r="L16" s="9">
        <v>17919966</v>
      </c>
      <c r="M16" s="7">
        <f t="shared" si="3"/>
        <v>0.9608045681196719</v>
      </c>
      <c r="N16" s="2">
        <f t="shared" si="4"/>
        <v>46000</v>
      </c>
      <c r="O16" s="7">
        <f t="shared" si="5"/>
        <v>0.9671547989788469</v>
      </c>
    </row>
    <row r="17" spans="1:15" ht="15">
      <c r="A17" s="5" t="s">
        <v>19</v>
      </c>
      <c r="B17" s="2">
        <v>150836000</v>
      </c>
      <c r="C17" s="2">
        <v>44051098</v>
      </c>
      <c r="D17" s="7">
        <f t="shared" si="0"/>
        <v>0.2920463152032671</v>
      </c>
      <c r="E17" s="2">
        <v>1737436000</v>
      </c>
      <c r="F17" s="2">
        <v>1699268000</v>
      </c>
      <c r="G17" s="7">
        <f t="shared" si="1"/>
        <v>0.9780319965742623</v>
      </c>
      <c r="H17" s="2">
        <v>135648398</v>
      </c>
      <c r="I17" s="2">
        <v>48842857</v>
      </c>
      <c r="J17" s="7">
        <f t="shared" si="2"/>
        <v>0.36006954538453156</v>
      </c>
      <c r="K17" s="2">
        <v>1568600000</v>
      </c>
      <c r="L17" s="9">
        <v>1535400000</v>
      </c>
      <c r="M17" s="7">
        <f t="shared" si="3"/>
        <v>0.9788346296060181</v>
      </c>
      <c r="N17" s="2">
        <f t="shared" si="4"/>
        <v>92893955</v>
      </c>
      <c r="O17" s="7">
        <f t="shared" si="5"/>
        <v>0.9784333130901401</v>
      </c>
    </row>
    <row r="18" spans="1:15" ht="15">
      <c r="A18" s="5" t="s">
        <v>20</v>
      </c>
      <c r="B18" s="2">
        <v>70972000</v>
      </c>
      <c r="C18" s="2">
        <f>B18*0.42</f>
        <v>29808240</v>
      </c>
      <c r="D18" s="7">
        <f t="shared" si="0"/>
        <v>0.42</v>
      </c>
      <c r="E18" s="2">
        <v>825330000</v>
      </c>
      <c r="F18" s="2">
        <f>782886000+21100000</f>
        <v>803986000</v>
      </c>
      <c r="G18" s="7">
        <f t="shared" si="1"/>
        <v>0.9741388293167581</v>
      </c>
      <c r="H18" s="2">
        <v>147207000</v>
      </c>
      <c r="I18" s="2">
        <v>65515685</v>
      </c>
      <c r="J18" s="7">
        <f t="shared" si="2"/>
        <v>0.445058217340208</v>
      </c>
      <c r="K18" s="2">
        <v>1738861000</v>
      </c>
      <c r="L18" s="9">
        <v>1736220100</v>
      </c>
      <c r="M18" s="7">
        <f t="shared" si="3"/>
        <v>0.9984812472072235</v>
      </c>
      <c r="N18" s="2">
        <f t="shared" si="4"/>
        <v>95323925</v>
      </c>
      <c r="O18" s="7">
        <f t="shared" si="5"/>
        <v>0.9863100382619908</v>
      </c>
    </row>
    <row r="19" spans="1:15" ht="15">
      <c r="A19" s="5" t="s">
        <v>21</v>
      </c>
      <c r="B19" s="2">
        <f>7375000+234000</f>
        <v>7609000</v>
      </c>
      <c r="C19" s="2">
        <f>900290+12302</f>
        <v>912592</v>
      </c>
      <c r="D19" s="7">
        <f t="shared" si="0"/>
        <v>0.11993586542252596</v>
      </c>
      <c r="E19" s="2">
        <f>70570000+2902000</f>
        <v>73472000</v>
      </c>
      <c r="F19" s="2">
        <f>70070000+2872000</f>
        <v>72942000</v>
      </c>
      <c r="G19" s="7">
        <f t="shared" si="1"/>
        <v>0.9927863675958188</v>
      </c>
      <c r="H19" s="2">
        <v>6535000</v>
      </c>
      <c r="I19" s="2">
        <v>1276130</v>
      </c>
      <c r="J19" s="7">
        <f t="shared" si="2"/>
        <v>0.1952762050497322</v>
      </c>
      <c r="K19" s="2">
        <v>73060000</v>
      </c>
      <c r="L19" s="9">
        <v>72560000</v>
      </c>
      <c r="M19" s="7">
        <f t="shared" si="3"/>
        <v>0.9931563098822885</v>
      </c>
      <c r="N19" s="2">
        <f t="shared" si="4"/>
        <v>2188722</v>
      </c>
      <c r="O19" s="7">
        <f t="shared" si="5"/>
        <v>0.9929713387390537</v>
      </c>
    </row>
    <row r="20" spans="1:15" ht="15">
      <c r="A20" s="5" t="s">
        <v>22</v>
      </c>
      <c r="B20" s="2">
        <f>5145000+434000+95000</f>
        <v>5674000</v>
      </c>
      <c r="C20" s="2">
        <f>3107632+431000</f>
        <v>3538632</v>
      </c>
      <c r="D20" s="7">
        <f t="shared" si="0"/>
        <v>0.6236573845611562</v>
      </c>
      <c r="E20" s="2">
        <f>78251000+4476000+1415000</f>
        <v>84142000</v>
      </c>
      <c r="F20" s="2">
        <f>48609219+2912182+1186502</f>
        <v>52707903</v>
      </c>
      <c r="G20" s="7">
        <f t="shared" si="1"/>
        <v>0.6264160942216729</v>
      </c>
      <c r="H20" s="2">
        <v>14054000</v>
      </c>
      <c r="I20" s="2">
        <f>H20*0.3643</f>
        <v>5119872.2</v>
      </c>
      <c r="J20" s="7">
        <f t="shared" si="2"/>
        <v>0.3643</v>
      </c>
      <c r="K20" s="2">
        <v>168590000</v>
      </c>
      <c r="L20" s="9">
        <v>155259455</v>
      </c>
      <c r="M20" s="7">
        <f t="shared" si="3"/>
        <v>0.9209292069517765</v>
      </c>
      <c r="N20" s="2">
        <f t="shared" si="4"/>
        <v>8658504.2</v>
      </c>
      <c r="O20" s="7">
        <f t="shared" si="5"/>
        <v>0.7736726505867246</v>
      </c>
    </row>
    <row r="21" spans="1:15" ht="15">
      <c r="A21" s="5" t="s">
        <v>62</v>
      </c>
      <c r="B21" s="2">
        <f>1251070+83131</f>
        <v>1334201</v>
      </c>
      <c r="C21" s="2">
        <f>226675+23001</f>
        <v>249676</v>
      </c>
      <c r="D21" s="7">
        <f t="shared" si="0"/>
        <v>0.1871352217544433</v>
      </c>
      <c r="E21" s="2">
        <f>10482385+822139</f>
        <v>11304524</v>
      </c>
      <c r="F21" s="2">
        <f>10482385+822139</f>
        <v>11304524</v>
      </c>
      <c r="G21" s="7">
        <f t="shared" si="1"/>
        <v>1</v>
      </c>
      <c r="H21" s="2">
        <v>1370523</v>
      </c>
      <c r="I21" s="2">
        <v>640994</v>
      </c>
      <c r="J21" s="7">
        <f t="shared" si="2"/>
        <v>0.46770028667888097</v>
      </c>
      <c r="K21" s="2">
        <v>14626357</v>
      </c>
      <c r="L21" s="9">
        <v>14626357</v>
      </c>
      <c r="M21" s="7">
        <f t="shared" si="3"/>
        <v>1</v>
      </c>
      <c r="N21" s="2">
        <f t="shared" si="4"/>
        <v>890670</v>
      </c>
      <c r="O21" s="7">
        <f t="shared" si="5"/>
        <v>1</v>
      </c>
    </row>
    <row r="22" spans="1:15" ht="15">
      <c r="A22" s="5" t="s">
        <v>23</v>
      </c>
      <c r="B22" s="2">
        <f>2167000+100000</f>
        <v>2267000</v>
      </c>
      <c r="C22" s="2">
        <v>307719</v>
      </c>
      <c r="D22" s="7">
        <f t="shared" si="0"/>
        <v>0.13573842082046758</v>
      </c>
      <c r="E22" s="2">
        <f>14689000+900000</f>
        <v>15589000</v>
      </c>
      <c r="F22" s="2">
        <f>15589000</f>
        <v>15589000</v>
      </c>
      <c r="G22" s="7">
        <f t="shared" si="1"/>
        <v>1</v>
      </c>
      <c r="H22" s="2">
        <v>4039000</v>
      </c>
      <c r="I22" s="2">
        <f>H22*0.0652</f>
        <v>263342.8</v>
      </c>
      <c r="J22" s="7">
        <f t="shared" si="2"/>
        <v>0.0652</v>
      </c>
      <c r="K22" s="2">
        <v>47141000</v>
      </c>
      <c r="L22" s="9">
        <v>47141000</v>
      </c>
      <c r="M22" s="7">
        <f t="shared" si="3"/>
        <v>1</v>
      </c>
      <c r="N22" s="2">
        <f t="shared" si="4"/>
        <v>571061.8</v>
      </c>
      <c r="O22" s="7">
        <f t="shared" si="5"/>
        <v>1</v>
      </c>
    </row>
    <row r="23" spans="1:15" ht="15">
      <c r="A23" s="5" t="s">
        <v>24</v>
      </c>
      <c r="B23" s="2">
        <v>1566423</v>
      </c>
      <c r="C23" s="2">
        <v>1757147</v>
      </c>
      <c r="D23" s="7">
        <f t="shared" si="0"/>
        <v>1.1217576606063624</v>
      </c>
      <c r="E23" s="2">
        <v>18333616</v>
      </c>
      <c r="F23" s="2">
        <v>16831895</v>
      </c>
      <c r="G23" s="7">
        <f t="shared" si="1"/>
        <v>0.9180892083700237</v>
      </c>
      <c r="H23" s="2">
        <v>10505013</v>
      </c>
      <c r="I23" s="2">
        <f>H23*1.2347</f>
        <v>12970539.551099999</v>
      </c>
      <c r="J23" s="7">
        <f t="shared" si="2"/>
        <v>1.2347</v>
      </c>
      <c r="K23" s="2">
        <v>123172346</v>
      </c>
      <c r="L23" s="9">
        <v>104245220</v>
      </c>
      <c r="M23" s="7">
        <f t="shared" si="3"/>
        <v>0.8463362384930136</v>
      </c>
      <c r="N23" s="2">
        <f t="shared" si="4"/>
        <v>14727686.551099999</v>
      </c>
      <c r="O23" s="7">
        <f t="shared" si="5"/>
        <v>0.8822127234315187</v>
      </c>
    </row>
    <row r="24" spans="1:15" ht="15">
      <c r="A24" s="5" t="s">
        <v>25</v>
      </c>
      <c r="B24" s="2">
        <v>2059285</v>
      </c>
      <c r="C24" s="2">
        <v>1107882</v>
      </c>
      <c r="D24" s="7">
        <f t="shared" si="0"/>
        <v>0.5379935268794751</v>
      </c>
      <c r="E24" s="2">
        <v>29012511</v>
      </c>
      <c r="F24" s="2">
        <v>21747687</v>
      </c>
      <c r="G24" s="7">
        <f t="shared" si="1"/>
        <v>0.749596854956815</v>
      </c>
      <c r="H24" s="2">
        <v>3592074</v>
      </c>
      <c r="I24" s="2">
        <v>4354000</v>
      </c>
      <c r="J24" s="7">
        <f t="shared" si="2"/>
        <v>1.2121131134826286</v>
      </c>
      <c r="K24" s="2">
        <v>45458666</v>
      </c>
      <c r="L24" s="9">
        <v>40207366</v>
      </c>
      <c r="M24" s="7">
        <f t="shared" si="3"/>
        <v>0.884481871949344</v>
      </c>
      <c r="N24" s="2">
        <f t="shared" si="4"/>
        <v>5461882</v>
      </c>
      <c r="O24" s="7">
        <f t="shared" si="5"/>
        <v>0.8170393634530795</v>
      </c>
    </row>
    <row r="25" spans="1:15" ht="15">
      <c r="A25" s="5" t="s">
        <v>26</v>
      </c>
      <c r="B25" s="2">
        <f>4172070+103000</f>
        <v>4275070</v>
      </c>
      <c r="C25" s="2">
        <f>2720175+152251</f>
        <v>2872426</v>
      </c>
      <c r="D25" s="7">
        <f t="shared" si="0"/>
        <v>0.6719015127237683</v>
      </c>
      <c r="E25" s="2">
        <f>51768790+1591317</f>
        <v>53360107</v>
      </c>
      <c r="F25" s="2">
        <f>20067610+495317</f>
        <v>20562927</v>
      </c>
      <c r="G25" s="7">
        <f t="shared" si="1"/>
        <v>0.3853614274049338</v>
      </c>
      <c r="H25" s="2">
        <v>16022387</v>
      </c>
      <c r="I25" s="2">
        <v>5056048</v>
      </c>
      <c r="J25" s="7">
        <f t="shared" si="2"/>
        <v>0.31556147033522536</v>
      </c>
      <c r="K25" s="2">
        <v>138892659</v>
      </c>
      <c r="L25" s="9">
        <v>109050101</v>
      </c>
      <c r="M25" s="7">
        <f t="shared" si="3"/>
        <v>0.7851394147476145</v>
      </c>
      <c r="N25" s="2">
        <f t="shared" si="4"/>
        <v>7928474</v>
      </c>
      <c r="O25" s="7">
        <f t="shared" si="5"/>
        <v>0.5852504210762741</v>
      </c>
    </row>
    <row r="26" spans="2:15" ht="15">
      <c r="B26" s="4">
        <f>SUM(B2:B25)</f>
        <v>839308492</v>
      </c>
      <c r="C26" s="4">
        <f>SUM(C2:C25)</f>
        <v>365215352</v>
      </c>
      <c r="D26" s="8">
        <f>AVERAGE(D2:D25)</f>
        <v>0.5098484557204632</v>
      </c>
      <c r="E26" s="4">
        <f>SUM(E2:E25)</f>
        <v>9509039071</v>
      </c>
      <c r="F26" s="4">
        <f>SUM(F2:F25)</f>
        <v>8965142943</v>
      </c>
      <c r="G26" s="8">
        <f>AVERAGE(G2:G25)</f>
        <v>0.8785965651208341</v>
      </c>
      <c r="H26" s="4">
        <f>SUM(H2:H25)</f>
        <v>707282448</v>
      </c>
      <c r="I26" s="4">
        <f>SUM(I2:I25)</f>
        <v>330743063.5511</v>
      </c>
      <c r="J26" s="8">
        <f>AVERAGE(J2:J25)</f>
        <v>0.49313937530390994</v>
      </c>
      <c r="K26" s="4">
        <f>SUM(K2:K25)</f>
        <v>8284135096</v>
      </c>
      <c r="L26" s="4">
        <f>SUM(L2:L25)</f>
        <v>8016822638</v>
      </c>
      <c r="M26" s="18">
        <f>AVERAGE(M2:M25)</f>
        <v>0.9511254878509302</v>
      </c>
      <c r="N26" s="4">
        <f>SUM(N2:N25)</f>
        <v>696485830.5511</v>
      </c>
      <c r="O26" s="8">
        <f>AVERAGE(O2:O25)</f>
        <v>0.9158951902927223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N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140625" style="0" bestFit="1" customWidth="1"/>
    <col min="2" max="2" width="8.7109375" style="0" bestFit="1" customWidth="1"/>
    <col min="3" max="3" width="29.8515625" style="2" bestFit="1" customWidth="1"/>
    <col min="4" max="4" width="24.28125" style="2" bestFit="1" customWidth="1"/>
    <col min="5" max="5" width="25.8515625" style="2" bestFit="1" customWidth="1"/>
  </cols>
  <sheetData>
    <row r="1" spans="1:5" s="6" customFormat="1" ht="15">
      <c r="A1" s="11" t="s">
        <v>0</v>
      </c>
      <c r="B1" s="12" t="s">
        <v>47</v>
      </c>
      <c r="C1" s="4" t="s">
        <v>48</v>
      </c>
      <c r="D1" s="4" t="s">
        <v>50</v>
      </c>
      <c r="E1" s="4" t="s">
        <v>49</v>
      </c>
    </row>
    <row r="2" spans="1:5" ht="15">
      <c r="A2" s="13" t="s">
        <v>5</v>
      </c>
      <c r="B2" s="14">
        <v>21502</v>
      </c>
      <c r="C2" s="2">
        <f>'Pension Data'!H2+'OPEB Data'!N2</f>
        <v>8276158</v>
      </c>
      <c r="D2" s="2">
        <f>'Pension Data'!I2+'OPEB Data'!E2+'OPEB Data'!K2</f>
        <v>33120281</v>
      </c>
      <c r="E2" s="2">
        <f>'Pension Data'!J2+'OPEB Data'!F2+'OPEB Data'!L2</f>
        <v>30593584</v>
      </c>
    </row>
    <row r="3" spans="1:5" ht="15">
      <c r="A3" s="13" t="s">
        <v>6</v>
      </c>
      <c r="B3" s="14">
        <v>21032</v>
      </c>
      <c r="C3" s="2">
        <f>'Pension Data'!H3+'OPEB Data'!N3</f>
        <v>190753472</v>
      </c>
      <c r="D3" s="2">
        <f>'Pension Data'!I3+'OPEB Data'!E3+'OPEB Data'!K3</f>
        <v>4052751370</v>
      </c>
      <c r="E3" s="2">
        <f>'Pension Data'!J3+'OPEB Data'!F3+'OPEB Data'!L3</f>
        <v>2598337585</v>
      </c>
    </row>
    <row r="4" spans="1:5" ht="15">
      <c r="A4" s="13" t="s">
        <v>7</v>
      </c>
      <c r="B4" s="14">
        <v>21202</v>
      </c>
      <c r="C4" s="2">
        <f>'Pension Data'!H4+'OPEB Data'!N4</f>
        <v>353482000</v>
      </c>
      <c r="D4" s="2">
        <f>'Pension Data'!I4+'OPEB Data'!E4+'OPEB Data'!K4</f>
        <v>7290375000</v>
      </c>
      <c r="E4" s="2">
        <f>'Pension Data'!J4+'OPEB Data'!F4+'OPEB Data'!L4</f>
        <v>3171005000</v>
      </c>
    </row>
    <row r="5" spans="1:5" ht="15">
      <c r="A5" s="13" t="s">
        <v>8</v>
      </c>
      <c r="B5" s="14">
        <v>21093</v>
      </c>
      <c r="C5" s="2">
        <f>'Pension Data'!H5+'OPEB Data'!N5</f>
        <v>438339977</v>
      </c>
      <c r="D5" s="2">
        <f>'Pension Data'!I5+'OPEB Data'!E5+'OPEB Data'!K5</f>
        <v>2903173000</v>
      </c>
      <c r="E5" s="2">
        <f>'Pension Data'!J5+'OPEB Data'!F5+'OPEB Data'!L5</f>
        <v>2584179000</v>
      </c>
    </row>
    <row r="6" spans="1:5" ht="15">
      <c r="A6" s="13" t="s">
        <v>9</v>
      </c>
      <c r="B6" s="14">
        <v>20676</v>
      </c>
      <c r="C6" s="2">
        <f>'Pension Data'!H6+'OPEB Data'!N6</f>
        <v>14365704</v>
      </c>
      <c r="D6" s="2">
        <f>'Pension Data'!I6+'OPEB Data'!E6+'OPEB Data'!K6</f>
        <v>189416269</v>
      </c>
      <c r="E6" s="2">
        <f>'Pension Data'!J6+'OPEB Data'!F6+'OPEB Data'!L6</f>
        <v>141483231</v>
      </c>
    </row>
    <row r="7" spans="1:5" ht="15">
      <c r="A7" s="13" t="s">
        <v>10</v>
      </c>
      <c r="B7" s="14">
        <v>21629</v>
      </c>
      <c r="C7" s="2">
        <f>'Pension Data'!H7+'OPEB Data'!N7</f>
        <v>8450184</v>
      </c>
      <c r="D7" s="2">
        <f>'Pension Data'!I7+'OPEB Data'!E7+'OPEB Data'!K7</f>
        <v>102488900</v>
      </c>
      <c r="E7" s="2">
        <f>'Pension Data'!J7+'OPEB Data'!F7+'OPEB Data'!L7</f>
        <v>84147195</v>
      </c>
    </row>
    <row r="8" spans="1:5" ht="15">
      <c r="A8" s="13" t="s">
        <v>11</v>
      </c>
      <c r="B8" s="14">
        <v>21157</v>
      </c>
      <c r="C8" s="2">
        <f>'Pension Data'!H8+'OPEB Data'!N8</f>
        <v>43641894</v>
      </c>
      <c r="D8" s="2">
        <f>'Pension Data'!I8+'OPEB Data'!E8+'OPEB Data'!K8</f>
        <v>295128223</v>
      </c>
      <c r="E8" s="2">
        <f>'Pension Data'!J8+'OPEB Data'!F8+'OPEB Data'!L8</f>
        <v>256508946</v>
      </c>
    </row>
    <row r="9" spans="1:5" ht="15">
      <c r="A9" s="13" t="s">
        <v>12</v>
      </c>
      <c r="B9" s="14">
        <v>21903</v>
      </c>
      <c r="C9" s="2">
        <f>'Pension Data'!H9+'OPEB Data'!N9</f>
        <v>21045071</v>
      </c>
      <c r="D9" s="2">
        <f>'Pension Data'!I9+'OPEB Data'!E9+'OPEB Data'!K9</f>
        <v>82952317</v>
      </c>
      <c r="E9" s="2">
        <f>'Pension Data'!J9+'OPEB Data'!F9+'OPEB Data'!L9</f>
        <v>58876880</v>
      </c>
    </row>
    <row r="10" spans="1:5" ht="15">
      <c r="A10" s="13" t="s">
        <v>13</v>
      </c>
      <c r="B10" s="14">
        <v>20611</v>
      </c>
      <c r="C10" s="2">
        <f>'Pension Data'!H10+'OPEB Data'!N10</f>
        <v>53863536</v>
      </c>
      <c r="D10" s="2">
        <f>'Pension Data'!I10+'OPEB Data'!E10+'OPEB Data'!K10</f>
        <v>843689582</v>
      </c>
      <c r="E10" s="2">
        <f>'Pension Data'!J10+'OPEB Data'!F10+'OPEB Data'!L10</f>
        <v>529441189</v>
      </c>
    </row>
    <row r="11" spans="1:5" ht="15">
      <c r="A11" s="13" t="s">
        <v>14</v>
      </c>
      <c r="B11" s="14">
        <v>21613</v>
      </c>
      <c r="C11" s="2">
        <f>'Pension Data'!H11+'OPEB Data'!N11</f>
        <v>7856603</v>
      </c>
      <c r="D11" s="2">
        <f>'Pension Data'!I11+'OPEB Data'!E11+'OPEB Data'!K11</f>
        <v>48216086</v>
      </c>
      <c r="E11" s="2">
        <f>'Pension Data'!J11+'OPEB Data'!F11+'OPEB Data'!L11</f>
        <v>45999384</v>
      </c>
    </row>
    <row r="12" spans="1:5" ht="15">
      <c r="A12" s="13" t="s">
        <v>15</v>
      </c>
      <c r="B12" s="14">
        <v>21793</v>
      </c>
      <c r="C12" s="2">
        <f>'Pension Data'!H12+'OPEB Data'!N12</f>
        <v>38974255</v>
      </c>
      <c r="D12" s="2">
        <f>'Pension Data'!I12+'OPEB Data'!E12+'OPEB Data'!K12</f>
        <v>1088557414</v>
      </c>
      <c r="E12" s="2">
        <f>'Pension Data'!J12+'OPEB Data'!F12+'OPEB Data'!L12</f>
        <v>786561163</v>
      </c>
    </row>
    <row r="13" spans="1:5" ht="15">
      <c r="A13" s="13" t="s">
        <v>16</v>
      </c>
      <c r="B13" s="14">
        <v>21561</v>
      </c>
      <c r="C13" s="2">
        <f>'Pension Data'!H13+'OPEB Data'!N13</f>
        <v>2942268</v>
      </c>
      <c r="D13" s="2">
        <f>'Pension Data'!I13+'OPEB Data'!E13+'OPEB Data'!K13</f>
        <v>41240095</v>
      </c>
      <c r="E13" s="2">
        <f>'Pension Data'!J13+'OPEB Data'!F13+'OPEB Data'!L13</f>
        <v>22816195</v>
      </c>
    </row>
    <row r="14" spans="1:5" ht="15">
      <c r="A14" s="13" t="s">
        <v>17</v>
      </c>
      <c r="B14" s="14">
        <v>21015</v>
      </c>
      <c r="C14" s="2">
        <f>'Pension Data'!H14+'OPEB Data'!N14</f>
        <v>52608082</v>
      </c>
      <c r="D14" s="2">
        <f>'Pension Data'!I14+'OPEB Data'!E14+'OPEB Data'!K14</f>
        <v>752470811</v>
      </c>
      <c r="E14" s="2">
        <f>'Pension Data'!J14+'OPEB Data'!F14+'OPEB Data'!L14</f>
        <v>663372176</v>
      </c>
    </row>
    <row r="15" spans="1:5" ht="15">
      <c r="A15" s="13" t="s">
        <v>18</v>
      </c>
      <c r="B15" s="14">
        <v>21044</v>
      </c>
      <c r="C15" s="2">
        <f>'Pension Data'!H15+'OPEB Data'!N15</f>
        <v>37612993</v>
      </c>
      <c r="D15" s="2">
        <f>'Pension Data'!I15+'OPEB Data'!E15+'OPEB Data'!K15</f>
        <v>1282196901</v>
      </c>
      <c r="E15" s="2">
        <f>'Pension Data'!J15+'OPEB Data'!F15+'OPEB Data'!L15</f>
        <v>749430901</v>
      </c>
    </row>
    <row r="16" spans="1:5" ht="15">
      <c r="A16" s="5" t="s">
        <v>27</v>
      </c>
      <c r="B16" s="15">
        <v>21678</v>
      </c>
      <c r="C16" s="2">
        <f>'Pension Data'!H16+'OPEB Data'!N16</f>
        <v>4132386</v>
      </c>
      <c r="D16" s="2">
        <f>'Pension Data'!I16+'OPEB Data'!E16+'OPEB Data'!K16</f>
        <v>24516000</v>
      </c>
      <c r="E16" s="2">
        <f>'Pension Data'!J16+'OPEB Data'!F16+'OPEB Data'!L16</f>
        <v>23629573</v>
      </c>
    </row>
    <row r="17" spans="1:5" ht="15">
      <c r="A17" s="13" t="s">
        <v>19</v>
      </c>
      <c r="B17" s="14">
        <v>20878</v>
      </c>
      <c r="C17" s="2">
        <f>'Pension Data'!H17+'OPEB Data'!N17</f>
        <v>284331274</v>
      </c>
      <c r="D17" s="2">
        <f>'Pension Data'!I17+'OPEB Data'!E17+'OPEB Data'!K17</f>
        <v>8471620811</v>
      </c>
      <c r="E17" s="2">
        <f>'Pension Data'!J17+'OPEB Data'!F17+'OPEB Data'!L17</f>
        <v>4551352151</v>
      </c>
    </row>
    <row r="18" spans="1:5" ht="15">
      <c r="A18" s="13" t="s">
        <v>20</v>
      </c>
      <c r="B18" s="14">
        <v>20607</v>
      </c>
      <c r="C18" s="2">
        <f>'Pension Data'!H18+'OPEB Data'!N18</f>
        <v>320724729</v>
      </c>
      <c r="D18" s="2">
        <f>'Pension Data'!I18+'OPEB Data'!E18+'OPEB Data'!K18</f>
        <v>4717816300</v>
      </c>
      <c r="E18" s="2">
        <f>'Pension Data'!J18+'OPEB Data'!F18+'OPEB Data'!L18</f>
        <v>3458770600</v>
      </c>
    </row>
    <row r="19" spans="1:5" ht="15">
      <c r="A19" s="13" t="s">
        <v>21</v>
      </c>
      <c r="B19" s="14">
        <v>21638</v>
      </c>
      <c r="C19" s="2">
        <f>'Pension Data'!H19+'OPEB Data'!N19</f>
        <v>13003101</v>
      </c>
      <c r="D19" s="2">
        <f>'Pension Data'!I19+'OPEB Data'!E19+'OPEB Data'!K19</f>
        <v>146532000</v>
      </c>
      <c r="E19" s="2">
        <f>'Pension Data'!J19+'OPEB Data'!F19+'OPEB Data'!L19</f>
        <v>145502000</v>
      </c>
    </row>
    <row r="20" spans="1:5" ht="15">
      <c r="A20" s="13" t="s">
        <v>22</v>
      </c>
      <c r="B20" s="14">
        <v>20659</v>
      </c>
      <c r="C20" s="2">
        <f>'Pension Data'!H20+'OPEB Data'!N20</f>
        <v>35327230.2</v>
      </c>
      <c r="D20" s="2">
        <f>'Pension Data'!I20+'OPEB Data'!E20+'OPEB Data'!K20</f>
        <v>398676933</v>
      </c>
      <c r="E20" s="2">
        <f>'Pension Data'!J20+'OPEB Data'!F20+'OPEB Data'!L20</f>
        <v>289408983</v>
      </c>
    </row>
    <row r="21" spans="1:5" ht="15">
      <c r="A21" s="13" t="s">
        <v>62</v>
      </c>
      <c r="B21" s="14">
        <v>21871</v>
      </c>
      <c r="C21" s="2">
        <f>'Pension Data'!H21+'OPEB Data'!N21</f>
        <v>4007622</v>
      </c>
      <c r="D21" s="2">
        <f>'Pension Data'!I21+'OPEB Data'!E21+'OPEB Data'!K21</f>
        <v>25930881</v>
      </c>
      <c r="E21" s="2">
        <f>'Pension Data'!J21+'OPEB Data'!F21+'OPEB Data'!L21</f>
        <v>25930881</v>
      </c>
    </row>
    <row r="22" spans="1:5" ht="15">
      <c r="A22" s="13" t="s">
        <v>23</v>
      </c>
      <c r="B22" s="14">
        <v>21662</v>
      </c>
      <c r="C22" s="2">
        <f>'Pension Data'!H22+'OPEB Data'!N22</f>
        <v>6418302.8</v>
      </c>
      <c r="D22" s="2">
        <f>'Pension Data'!I22+'OPEB Data'!E22+'OPEB Data'!K22</f>
        <v>62730000</v>
      </c>
      <c r="E22" s="2">
        <f>'Pension Data'!J22+'OPEB Data'!F22+'OPEB Data'!L22</f>
        <v>62730000</v>
      </c>
    </row>
    <row r="23" spans="1:5" ht="15">
      <c r="A23" s="13" t="s">
        <v>24</v>
      </c>
      <c r="B23" s="14">
        <v>21711</v>
      </c>
      <c r="C23" s="2">
        <f>'Pension Data'!H23+'OPEB Data'!N23</f>
        <v>38324998.5511</v>
      </c>
      <c r="D23" s="2">
        <f>'Pension Data'!I23+'OPEB Data'!E23+'OPEB Data'!K23</f>
        <v>226239571</v>
      </c>
      <c r="E23" s="2">
        <f>'Pension Data'!J23+'OPEB Data'!F23+'OPEB Data'!L23</f>
        <v>148252239</v>
      </c>
    </row>
    <row r="24" spans="1:5" ht="15">
      <c r="A24" s="13" t="s">
        <v>25</v>
      </c>
      <c r="B24" s="14">
        <v>21801</v>
      </c>
      <c r="C24" s="2">
        <f>'Pension Data'!H24+'OPEB Data'!N24</f>
        <v>7340007</v>
      </c>
      <c r="D24" s="2">
        <f>'Pension Data'!I24+'OPEB Data'!E24+'OPEB Data'!K24</f>
        <v>93895229</v>
      </c>
      <c r="E24" s="2">
        <f>'Pension Data'!J24+'OPEB Data'!F24+'OPEB Data'!L24</f>
        <v>66348710</v>
      </c>
    </row>
    <row r="25" spans="1:5" ht="15">
      <c r="A25" s="13" t="s">
        <v>26</v>
      </c>
      <c r="B25" s="14">
        <v>21841</v>
      </c>
      <c r="C25" s="2">
        <f>'Pension Data'!H25+'OPEB Data'!N25</f>
        <v>12085389</v>
      </c>
      <c r="D25" s="2">
        <f>'Pension Data'!I25+'OPEB Data'!E25+'OPEB Data'!K25</f>
        <v>197120544</v>
      </c>
      <c r="E25" s="2">
        <f>'Pension Data'!J25+'OPEB Data'!F25+'OPEB Data'!L25</f>
        <v>136270829</v>
      </c>
    </row>
    <row r="26" spans="2:5" ht="15">
      <c r="B26" s="6" t="s">
        <v>63</v>
      </c>
      <c r="C26" s="4">
        <f>SUM(C2:C25)</f>
        <v>1997907236.5511</v>
      </c>
      <c r="D26" s="4">
        <f>SUM(D2:D25)</f>
        <v>33370854518</v>
      </c>
      <c r="E26" s="4">
        <f>SUM(E2:E25)</f>
        <v>20630948395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47.8515625" style="0" customWidth="1"/>
  </cols>
  <sheetData>
    <row r="1" spans="1:2" s="6" customFormat="1" ht="12.75">
      <c r="A1" s="6" t="s">
        <v>51</v>
      </c>
      <c r="B1" s="6" t="s">
        <v>52</v>
      </c>
    </row>
    <row r="2" spans="1:2" ht="63.75">
      <c r="A2" s="16" t="s">
        <v>53</v>
      </c>
      <c r="B2" s="17" t="s">
        <v>58</v>
      </c>
    </row>
    <row r="3" spans="1:2" ht="38.25">
      <c r="A3" s="16" t="s">
        <v>54</v>
      </c>
      <c r="B3" s="17" t="s">
        <v>59</v>
      </c>
    </row>
    <row r="4" spans="1:2" ht="12.75">
      <c r="A4" s="16" t="s">
        <v>55</v>
      </c>
      <c r="B4" t="s">
        <v>56</v>
      </c>
    </row>
    <row r="5" spans="1:2" ht="12.75">
      <c r="A5" s="16" t="s">
        <v>57</v>
      </c>
      <c r="B5" t="s">
        <v>29</v>
      </c>
    </row>
    <row r="7" spans="1:2" ht="38.25">
      <c r="A7" s="16" t="s">
        <v>60</v>
      </c>
      <c r="B7" s="17" t="s">
        <v>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JohnnySaber</dc:creator>
  <cp:keywords/>
  <dc:description/>
  <cp:lastModifiedBy>John J. Walters</cp:lastModifiedBy>
  <dcterms:created xsi:type="dcterms:W3CDTF">2011-04-26T18:16:21Z</dcterms:created>
  <dcterms:modified xsi:type="dcterms:W3CDTF">2012-10-05T15:53:58Z</dcterms:modified>
  <cp:category/>
  <cp:version/>
  <cp:contentType/>
  <cp:contentStatus/>
</cp:coreProperties>
</file>